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4240" windowHeight="13740" activeTab="1"/>
  </bookViews>
  <sheets>
    <sheet name="Pretest &amp; Pilot Budget" sheetId="6" r:id="rId1"/>
    <sheet name="Pretest &amp; Pilot Budget_GEO" sheetId="8" r:id="rId2"/>
    <sheet name="National scale-up Budget" sheetId="7" r:id="rId3"/>
  </sheets>
  <externalReferences>
    <externalReference r:id="rId4"/>
  </externalReferences>
  <definedNames>
    <definedName name="budget_rural">'[1]Budgets_semi urban'!$B$35</definedName>
    <definedName name="budget_rural_increase">'[1]Budgets_semi urban'!$B$36</definedName>
    <definedName name="budget_urb_increase">[1]Budgets_urban!$B$14</definedName>
    <definedName name="budget_urban">[1]Budgets_urban!$B$13</definedName>
    <definedName name="increment" localSheetId="2">[1]Parameters!#REF!</definedName>
    <definedName name="increment" localSheetId="1">[1]Parameters!#REF!</definedName>
    <definedName name="increment">[1]Parameters!#REF!</definedName>
    <definedName name="mdr_fee">[1]Parameters!$B$9</definedName>
    <definedName name="rur_fac">[1]Parameters!$B$4</definedName>
    <definedName name="rur_famdoc">[1]Parameters!$F$4</definedName>
    <definedName name="rur_increment">[1]Parameters!$B$7</definedName>
    <definedName name="rur_man">[1]Parameters!$C$4</definedName>
    <definedName name="rur_nurse">[1]Parameters!$E$4</definedName>
    <definedName name="rur_TBdoc">[1]Parameters!$D$4</definedName>
    <definedName name="urb_fac">[1]Parameters!$B$3</definedName>
    <definedName name="urb_famdoc">[1]Parameters!$F$3</definedName>
    <definedName name="urb_increment">[1]Parameters!$B$8</definedName>
    <definedName name="urb_nurse">[1]Parameters!$E$3</definedName>
    <definedName name="urb_TBdoc">[1]Parameters!$D$3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8" l="1"/>
  <c r="K9" i="8"/>
  <c r="K4" i="8"/>
  <c r="I10" i="8"/>
  <c r="I9" i="8"/>
  <c r="I4" i="8"/>
  <c r="K10" i="6"/>
  <c r="K9" i="6"/>
  <c r="K4" i="6"/>
  <c r="I10" i="6"/>
  <c r="I9" i="6"/>
  <c r="I4" i="6"/>
  <c r="G10" i="8" l="1"/>
  <c r="B10" i="8"/>
  <c r="C10" i="8" s="1"/>
  <c r="F10" i="8" s="1"/>
  <c r="H10" i="8" s="1"/>
  <c r="E9" i="8"/>
  <c r="G9" i="8" s="1"/>
  <c r="D9" i="8"/>
  <c r="B9" i="8"/>
  <c r="C9" i="8" s="1"/>
  <c r="F9" i="8" s="1"/>
  <c r="G4" i="8"/>
  <c r="C4" i="8"/>
  <c r="F4" i="8" s="1"/>
  <c r="B4" i="8"/>
  <c r="H4" i="8" l="1"/>
  <c r="J10" i="8"/>
  <c r="L10" i="8"/>
  <c r="H9" i="8"/>
  <c r="J15" i="6"/>
  <c r="H15" i="6"/>
  <c r="K11" i="8" l="1"/>
  <c r="H11" i="8"/>
  <c r="J9" i="8"/>
  <c r="J11" i="8" s="1"/>
  <c r="K5" i="8"/>
  <c r="K15" i="8" s="1"/>
  <c r="J4" i="8"/>
  <c r="J5" i="8" s="1"/>
  <c r="H5" i="8"/>
  <c r="H15" i="8" s="1"/>
  <c r="I7" i="7"/>
  <c r="I6" i="7"/>
  <c r="I5" i="7"/>
  <c r="H6" i="7"/>
  <c r="H5" i="7"/>
  <c r="G6" i="7"/>
  <c r="G5" i="7"/>
  <c r="H11" i="7"/>
  <c r="G10" i="6"/>
  <c r="F10" i="6"/>
  <c r="H10" i="6"/>
  <c r="G9" i="6"/>
  <c r="G4" i="6"/>
  <c r="H4" i="6"/>
  <c r="H11" i="6"/>
  <c r="L4" i="8" l="1"/>
  <c r="L5" i="8" s="1"/>
  <c r="I5" i="8"/>
  <c r="L9" i="8"/>
  <c r="L11" i="8" s="1"/>
  <c r="I11" i="8"/>
  <c r="J15" i="8"/>
  <c r="D9" i="6"/>
  <c r="I15" i="8" l="1"/>
  <c r="C5" i="7"/>
  <c r="F5" i="7" s="1"/>
  <c r="I17" i="8" l="1"/>
  <c r="L15" i="8"/>
  <c r="C6" i="7"/>
  <c r="F6" i="7" s="1"/>
  <c r="I11" i="7" l="1"/>
  <c r="H7" i="7"/>
  <c r="E9" i="6" l="1"/>
  <c r="B10" i="6" l="1"/>
  <c r="C10" i="6" s="1"/>
  <c r="B9" i="6"/>
  <c r="C9" i="6" s="1"/>
  <c r="F9" i="6" s="1"/>
  <c r="B4" i="6"/>
  <c r="C4" i="6" s="1"/>
  <c r="F4" i="6" s="1"/>
  <c r="K5" i="6" l="1"/>
  <c r="J4" i="6"/>
  <c r="I5" i="6"/>
  <c r="H9" i="6"/>
  <c r="J9" i="6" l="1"/>
  <c r="L9" i="6" l="1"/>
  <c r="K11" i="6"/>
  <c r="K15" i="6" s="1"/>
  <c r="H5" i="6"/>
  <c r="J5" i="6"/>
  <c r="J10" i="6"/>
  <c r="L10" i="6" l="1"/>
  <c r="L11" i="6" s="1"/>
  <c r="I11" i="6"/>
  <c r="I15" i="6" s="1"/>
  <c r="J11" i="6"/>
  <c r="L4" i="6"/>
  <c r="L5" i="6" s="1"/>
  <c r="L15" i="6" l="1"/>
  <c r="I17" i="6"/>
</calcChain>
</file>

<file path=xl/sharedStrings.xml><?xml version="1.0" encoding="utf-8"?>
<sst xmlns="http://schemas.openxmlformats.org/spreadsheetml/2006/main" count="80" uniqueCount="61">
  <si>
    <t>month</t>
  </si>
  <si>
    <t xml:space="preserve">12 month    </t>
  </si>
  <si>
    <t xml:space="preserve">total </t>
  </si>
  <si>
    <t>Pretest 2 facilities</t>
  </si>
  <si>
    <t>total pretest</t>
  </si>
  <si>
    <t xml:space="preserve">Pilot 8 facilities  </t>
  </si>
  <si>
    <t xml:space="preserve">12 month  </t>
  </si>
  <si>
    <t>total  24 month</t>
  </si>
  <si>
    <t xml:space="preserve">total intervention </t>
  </si>
  <si>
    <t>Total Pretest and Pilot</t>
  </si>
  <si>
    <t xml:space="preserve">** monthly number of patients are 55% of annual number </t>
  </si>
  <si>
    <t xml:space="preserve">Integrated 5 facilities </t>
  </si>
  <si>
    <t>Specialised 3 facilities</t>
  </si>
  <si>
    <t>Monthly No of PTB patients**</t>
  </si>
  <si>
    <t>monthly number of PTB patients expected in 2019 ****</t>
  </si>
  <si>
    <t>**** from 2017 10% reduction is expected in 2019</t>
  </si>
  <si>
    <t>2019-2020</t>
  </si>
  <si>
    <t>bonus per patient urban</t>
  </si>
  <si>
    <t xml:space="preserve">bonus per patient rural </t>
  </si>
  <si>
    <t xml:space="preserve">* patient number based on 2017 cohort </t>
  </si>
  <si>
    <t>Annual No of PTB Patients*</t>
  </si>
  <si>
    <t xml:space="preserve"> bonus payement per patient weighted  urban/rural patient ***</t>
  </si>
  <si>
    <t>Administration by SSA</t>
  </si>
  <si>
    <t>RBF Pretest and Pilot budget (GeL)</t>
  </si>
  <si>
    <t>Total requested GeL</t>
  </si>
  <si>
    <t>*** 84% are urban patients, 16% are rural patients</t>
  </si>
  <si>
    <t xml:space="preserve">Integrated  facilities </t>
  </si>
  <si>
    <t>Specialised  facilities</t>
  </si>
  <si>
    <t xml:space="preserve">Total </t>
  </si>
  <si>
    <t>National scale-up budget (GeL)</t>
  </si>
  <si>
    <t>monthly number of PTB patients expected in 2019-2021****</t>
  </si>
  <si>
    <t xml:space="preserve">All facilities  </t>
  </si>
  <si>
    <t>**** from 2017 10% reduction is expected in 2019. This number of patietns is used for 2021 calculations</t>
  </si>
  <si>
    <t>პაციენტების წლიური რა-ბა*</t>
  </si>
  <si>
    <t>ფილტვის ტბ წლიური რა-ბა**</t>
  </si>
  <si>
    <t>ბონუსი ქალაქის პაციენტზე</t>
  </si>
  <si>
    <t xml:space="preserve">ბონუსი სოფლის პაციენტზე </t>
  </si>
  <si>
    <t>ფილტვის ტბ პაციენტების მოსალოდნელი რა-ბა თვეში 2019 ****</t>
  </si>
  <si>
    <t>ბონუსი პაციენტზე პაციენტზე შეწონილი ქალაქის/სოფლის ***</t>
  </si>
  <si>
    <t>თვე</t>
  </si>
  <si>
    <t xml:space="preserve">12 თვე    </t>
  </si>
  <si>
    <t>სულ</t>
  </si>
  <si>
    <t>პრეტესტი 2 დაწესებულება</t>
  </si>
  <si>
    <t>სულ პრეტესტი</t>
  </si>
  <si>
    <t xml:space="preserve">პილოტი 8 დაწესებულება  </t>
  </si>
  <si>
    <t xml:space="preserve">ინტეგრირებული 5 დაწესებულება </t>
  </si>
  <si>
    <t>სპეციალიზებული 3 დაწესებულება</t>
  </si>
  <si>
    <t xml:space="preserve">სულ </t>
  </si>
  <si>
    <t>სულ პრეტესტი და პილოტი</t>
  </si>
  <si>
    <t>ადმინისტირების თანხა</t>
  </si>
  <si>
    <t xml:space="preserve">* პაციენტების რა-ბა ეფუძნება 2017 კოჰორტას </t>
  </si>
  <si>
    <t xml:space="preserve">** თვის რა-ბა არის წლის რა-ბის 55% </t>
  </si>
  <si>
    <t>*** 84% - ქალაქის პაციენტები, 16% სოფლის პაციენტები</t>
  </si>
  <si>
    <t>****  2017 წლიდან 10% კლება არის მოსალოდნელი 2019-ში</t>
  </si>
  <si>
    <t xml:space="preserve"> Results4TB ბიუჯეტი</t>
  </si>
  <si>
    <t xml:space="preserve">8 month    </t>
  </si>
  <si>
    <t>8 month</t>
  </si>
  <si>
    <t>4 months</t>
  </si>
  <si>
    <t xml:space="preserve">8თვე    </t>
  </si>
  <si>
    <t xml:space="preserve">8 თვე    </t>
  </si>
  <si>
    <t>4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</si>
</sst>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Menlo Regular"/>
      <family val="2"/>
    </font>
    <font>
      <b/>
      <sz val="14"/>
      <color theme="1"/>
      <name val="Menlo Regula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Menlo Regular"/>
      <family val="2"/>
    </font>
    <font>
      <b/>
      <sz val="11"/>
      <color theme="1"/>
      <name val="Menlo Bold"/>
      <family val="2"/>
    </font>
    <font>
      <sz val="11"/>
      <color theme="1"/>
      <name val="Menlo Regular"/>
    </font>
    <font>
      <b/>
      <sz val="11"/>
      <color rgb="FF000000"/>
      <name val="Calibri"/>
      <family val="2"/>
      <scheme val="minor"/>
    </font>
    <font>
      <b/>
      <sz val="12"/>
      <color theme="1"/>
      <name val="Menlo Regular"/>
      <family val="2"/>
    </font>
    <font>
      <b/>
      <sz val="12"/>
      <color theme="1"/>
      <name val="Calibri"/>
      <family val="2"/>
      <charset val="238"/>
      <scheme val="minor"/>
    </font>
    <font>
      <sz val="9"/>
      <color theme="1"/>
      <name val="Menlo Regula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/>
    <xf numFmtId="0" fontId="7" fillId="0" borderId="0" xfId="1" applyFont="1" applyFill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1" applyFont="1" applyFill="1" applyAlignment="1" applyProtection="1">
      <alignment horizontal="center"/>
      <protection locked="0"/>
    </xf>
    <xf numFmtId="0" fontId="9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164" fontId="5" fillId="0" borderId="0" xfId="2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10" fillId="0" borderId="0" xfId="2" applyFont="1" applyAlignment="1" applyProtection="1">
      <alignment horizontal="center" vertical="center" wrapText="1"/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locked="0"/>
    </xf>
    <xf numFmtId="1" fontId="8" fillId="0" borderId="0" xfId="1" applyNumberFormat="1" applyFont="1" applyProtection="1">
      <protection locked="0"/>
    </xf>
    <xf numFmtId="165" fontId="8" fillId="0" borderId="0" xfId="1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1" fontId="2" fillId="0" borderId="0" xfId="1" applyNumberFormat="1"/>
    <xf numFmtId="165" fontId="2" fillId="0" borderId="0" xfId="1" applyNumberFormat="1"/>
    <xf numFmtId="165" fontId="8" fillId="0" borderId="0" xfId="2" applyNumberFormat="1" applyFont="1" applyProtection="1">
      <protection locked="0"/>
    </xf>
    <xf numFmtId="0" fontId="7" fillId="0" borderId="0" xfId="1" applyFont="1" applyProtection="1">
      <protection locked="0"/>
    </xf>
    <xf numFmtId="1" fontId="7" fillId="0" borderId="0" xfId="1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1" fontId="8" fillId="0" borderId="0" xfId="1" applyNumberFormat="1" applyFont="1" applyFill="1" applyProtection="1"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" fontId="8" fillId="0" borderId="0" xfId="1" applyNumberFormat="1" applyFont="1" applyAlignment="1" applyProtection="1">
      <alignment horizontal="center" vertical="center" wrapText="1"/>
      <protection locked="0"/>
    </xf>
    <xf numFmtId="164" fontId="9" fillId="0" borderId="0" xfId="2" applyFont="1" applyAlignment="1" applyProtection="1">
      <alignment horizontal="center" vertical="center" wrapText="1"/>
      <protection locked="0"/>
    </xf>
    <xf numFmtId="164" fontId="7" fillId="0" borderId="0" xfId="2" applyFont="1" applyAlignment="1" applyProtection="1">
      <alignment horizontal="center" vertical="center" wrapText="1"/>
      <protection locked="0"/>
    </xf>
    <xf numFmtId="164" fontId="2" fillId="0" borderId="0" xfId="1" applyNumberFormat="1"/>
    <xf numFmtId="2" fontId="8" fillId="0" borderId="0" xfId="1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165" fontId="0" fillId="0" borderId="0" xfId="2" applyNumberFormat="1" applyFont="1"/>
    <xf numFmtId="0" fontId="9" fillId="0" borderId="0" xfId="1" applyFont="1" applyProtection="1">
      <protection locked="0"/>
    </xf>
    <xf numFmtId="165" fontId="12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2" borderId="0" xfId="1" applyFill="1"/>
    <xf numFmtId="0" fontId="3" fillId="2" borderId="0" xfId="1" applyFont="1" applyFill="1"/>
    <xf numFmtId="165" fontId="16" fillId="0" borderId="0" xfId="1" applyNumberFormat="1" applyFont="1" applyProtection="1">
      <protection locked="0"/>
    </xf>
    <xf numFmtId="165" fontId="4" fillId="0" borderId="0" xfId="1" applyNumberFormat="1" applyFont="1" applyProtection="1">
      <protection locked="0"/>
    </xf>
    <xf numFmtId="0" fontId="6" fillId="3" borderId="0" xfId="1" applyFont="1" applyFill="1" applyProtection="1">
      <protection locked="0"/>
    </xf>
    <xf numFmtId="0" fontId="2" fillId="3" borderId="0" xfId="1" applyFill="1" applyProtection="1">
      <protection locked="0"/>
    </xf>
    <xf numFmtId="166" fontId="8" fillId="0" borderId="0" xfId="1" applyNumberFormat="1" applyFont="1" applyProtection="1">
      <protection locked="0"/>
    </xf>
    <xf numFmtId="166" fontId="7" fillId="0" borderId="0" xfId="1" applyNumberFormat="1" applyFont="1" applyProtection="1">
      <protection locked="0"/>
    </xf>
    <xf numFmtId="166" fontId="8" fillId="0" borderId="0" xfId="1" applyNumberFormat="1" applyFont="1" applyFill="1" applyProtection="1">
      <protection locked="0"/>
    </xf>
    <xf numFmtId="166" fontId="5" fillId="0" borderId="0" xfId="1" applyNumberFormat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vertical="top"/>
      <protection locked="0"/>
    </xf>
    <xf numFmtId="166" fontId="0" fillId="0" borderId="0" xfId="2" applyNumberFormat="1" applyFont="1" applyFill="1"/>
    <xf numFmtId="165" fontId="0" fillId="0" borderId="0" xfId="2" applyNumberFormat="1" applyFont="1" applyFill="1"/>
    <xf numFmtId="0" fontId="1" fillId="2" borderId="0" xfId="1" applyFont="1" applyFill="1"/>
    <xf numFmtId="165" fontId="17" fillId="0" borderId="0" xfId="1" applyNumberFormat="1" applyFont="1" applyProtection="1">
      <protection locked="0"/>
    </xf>
    <xf numFmtId="165" fontId="14" fillId="0" borderId="0" xfId="1" applyNumberFormat="1" applyFont="1" applyProtection="1">
      <protection locked="0"/>
    </xf>
    <xf numFmtId="0" fontId="1" fillId="0" borderId="0" xfId="1" applyFont="1"/>
    <xf numFmtId="164" fontId="8" fillId="0" borderId="0" xfId="1" applyNumberFormat="1" applyFont="1" applyProtection="1"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dity.chikovani\Dropbox\Projects\Results4TB\RBF4TB-CIF\Technical%20working\Procurement\Budget\RBF%20Intervention%20Budget%20Detailed_28%2003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Budgets_semi urban"/>
      <sheetName val="Budgets_urban"/>
      <sheetName val="Aggregate budget"/>
      <sheetName val="Intervention budget"/>
      <sheetName val="Aggregate budget Old_9 August"/>
      <sheetName val="Aggregate budget_old July"/>
      <sheetName val="Intervention budget (pretest)"/>
      <sheetName val="Intervention budget Examp NCTLD"/>
    </sheetNames>
    <sheetDataSet>
      <sheetData sheetId="0">
        <row r="3">
          <cell r="B3">
            <v>0.3</v>
          </cell>
          <cell r="D3">
            <v>0.4</v>
          </cell>
          <cell r="E3">
            <v>0.3</v>
          </cell>
          <cell r="F3">
            <v>0</v>
          </cell>
        </row>
        <row r="4">
          <cell r="B4">
            <v>0.2</v>
          </cell>
          <cell r="C4">
            <v>0.1</v>
          </cell>
          <cell r="D4">
            <v>0.3</v>
          </cell>
          <cell r="E4">
            <v>0.2</v>
          </cell>
          <cell r="F4">
            <v>0.2</v>
          </cell>
        </row>
        <row r="7">
          <cell r="B7">
            <v>1.45</v>
          </cell>
        </row>
        <row r="8">
          <cell r="B8">
            <v>1.35</v>
          </cell>
        </row>
        <row r="9">
          <cell r="B9">
            <v>211.25</v>
          </cell>
        </row>
      </sheetData>
      <sheetData sheetId="1">
        <row r="35">
          <cell r="B35">
            <v>65835.4375</v>
          </cell>
        </row>
        <row r="36">
          <cell r="B36">
            <v>20431.6875</v>
          </cell>
        </row>
      </sheetData>
      <sheetData sheetId="2">
        <row r="13">
          <cell r="B13">
            <v>132546.5</v>
          </cell>
        </row>
        <row r="14">
          <cell r="B14">
            <v>35971.5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="119" zoomScaleNormal="118" workbookViewId="0">
      <selection activeCell="I17" sqref="I17"/>
    </sheetView>
  </sheetViews>
  <sheetFormatPr defaultColWidth="10.875" defaultRowHeight="15.75"/>
  <cols>
    <col min="1" max="1" width="28.5" style="1" customWidth="1"/>
    <col min="2" max="2" width="10.875" style="1" customWidth="1"/>
    <col min="3" max="3" width="10.875" style="1"/>
    <col min="4" max="4" width="11" style="1" customWidth="1"/>
    <col min="5" max="5" width="10.625" style="1" customWidth="1"/>
    <col min="6" max="6" width="14.5" style="1" customWidth="1"/>
    <col min="7" max="7" width="18.375" style="1" customWidth="1"/>
    <col min="8" max="8" width="12.875" style="1" customWidth="1"/>
    <col min="9" max="9" width="10.875" style="1"/>
    <col min="10" max="11" width="10.875" style="1" customWidth="1"/>
    <col min="12" max="12" width="12.125" style="1" customWidth="1"/>
    <col min="13" max="16384" width="10.875" style="1"/>
  </cols>
  <sheetData>
    <row r="1" spans="1:13" ht="18">
      <c r="A1" s="42" t="s">
        <v>23</v>
      </c>
      <c r="B1" s="43"/>
      <c r="C1" s="43"/>
      <c r="D1" s="43"/>
      <c r="E1" s="43"/>
      <c r="F1" s="38"/>
      <c r="G1" s="39"/>
      <c r="H1" s="51"/>
      <c r="I1" s="51"/>
      <c r="J1" s="38"/>
      <c r="K1" s="38"/>
      <c r="L1" s="38"/>
    </row>
    <row r="2" spans="1:13">
      <c r="A2" s="2"/>
      <c r="B2" s="3"/>
      <c r="C2" s="3"/>
      <c r="D2" s="4"/>
      <c r="E2" s="4"/>
      <c r="I2" s="4">
        <v>2019</v>
      </c>
      <c r="J2" s="4">
        <v>2020</v>
      </c>
      <c r="K2" s="4">
        <v>2021</v>
      </c>
      <c r="L2" s="4" t="s">
        <v>16</v>
      </c>
    </row>
    <row r="3" spans="1:13" ht="75.95" customHeight="1">
      <c r="A3" s="5"/>
      <c r="B3" s="6" t="s">
        <v>20</v>
      </c>
      <c r="C3" s="6" t="s">
        <v>13</v>
      </c>
      <c r="D3" s="8" t="s">
        <v>17</v>
      </c>
      <c r="E3" s="8" t="s">
        <v>18</v>
      </c>
      <c r="F3" s="6" t="s">
        <v>14</v>
      </c>
      <c r="G3" s="6" t="s">
        <v>21</v>
      </c>
      <c r="H3" s="7" t="s">
        <v>0</v>
      </c>
      <c r="I3" s="9" t="s">
        <v>55</v>
      </c>
      <c r="J3" s="9" t="s">
        <v>1</v>
      </c>
      <c r="K3" s="9" t="s">
        <v>57</v>
      </c>
      <c r="L3" s="8" t="s">
        <v>2</v>
      </c>
    </row>
    <row r="4" spans="1:13">
      <c r="A4" s="10" t="s">
        <v>3</v>
      </c>
      <c r="B4" s="11">
        <f>(17+6)+(23+1)</f>
        <v>47</v>
      </c>
      <c r="C4" s="12">
        <f>B4*0.55</f>
        <v>25.85</v>
      </c>
      <c r="D4" s="55">
        <v>60.84</v>
      </c>
      <c r="E4" s="55">
        <v>68.27</v>
      </c>
      <c r="F4" s="15">
        <f>C4*0.9</f>
        <v>23.265000000000001</v>
      </c>
      <c r="G4" s="49">
        <f>D4*0.84+E4*0.16</f>
        <v>62.028800000000004</v>
      </c>
      <c r="H4" s="16">
        <f>G4*F4</f>
        <v>1443.1000320000001</v>
      </c>
      <c r="I4" s="27">
        <f>H4*8</f>
        <v>11544.800256</v>
      </c>
      <c r="J4" s="14">
        <f>H4*12</f>
        <v>17317.200384</v>
      </c>
      <c r="K4" s="14">
        <f>H4*4</f>
        <v>5772.4001280000002</v>
      </c>
      <c r="L4" s="13">
        <f>SUM(I4:J4)</f>
        <v>28862.000639999998</v>
      </c>
    </row>
    <row r="5" spans="1:13">
      <c r="A5" s="5" t="s">
        <v>4</v>
      </c>
      <c r="B5" s="18"/>
      <c r="C5" s="19"/>
      <c r="D5" s="45"/>
      <c r="E5" s="45"/>
      <c r="G5" s="49"/>
      <c r="H5" s="20">
        <f>H4</f>
        <v>1443.1000320000001</v>
      </c>
      <c r="I5" s="20">
        <f>I4</f>
        <v>11544.800256</v>
      </c>
      <c r="J5" s="20">
        <f>J4</f>
        <v>17317.200384</v>
      </c>
      <c r="K5" s="20">
        <f>K4</f>
        <v>5772.4001280000002</v>
      </c>
      <c r="L5" s="20">
        <f t="shared" ref="L5" si="0">L4</f>
        <v>28862.000639999998</v>
      </c>
    </row>
    <row r="6" spans="1:13">
      <c r="A6" s="5"/>
      <c r="B6" s="18"/>
      <c r="C6" s="19"/>
      <c r="D6" s="45"/>
      <c r="E6" s="45"/>
      <c r="G6" s="49"/>
      <c r="H6" s="20"/>
      <c r="I6" s="20"/>
      <c r="J6" s="20"/>
      <c r="K6" s="20"/>
      <c r="L6" s="20"/>
    </row>
    <row r="7" spans="1:13">
      <c r="A7" s="2"/>
      <c r="B7" s="3"/>
      <c r="C7" s="21"/>
      <c r="D7" s="46"/>
      <c r="E7" s="46"/>
      <c r="G7" s="49"/>
    </row>
    <row r="8" spans="1:13" ht="25.5">
      <c r="A8" s="22" t="s">
        <v>5</v>
      </c>
      <c r="B8" s="23"/>
      <c r="C8" s="24"/>
      <c r="D8" s="47"/>
      <c r="E8" s="47"/>
      <c r="G8" s="49"/>
      <c r="H8" s="25" t="s">
        <v>0</v>
      </c>
      <c r="I8" s="22" t="s">
        <v>56</v>
      </c>
      <c r="J8" s="26" t="s">
        <v>6</v>
      </c>
      <c r="K8" s="9" t="s">
        <v>57</v>
      </c>
      <c r="L8" s="8" t="s">
        <v>7</v>
      </c>
    </row>
    <row r="9" spans="1:13">
      <c r="A9" s="10" t="s">
        <v>11</v>
      </c>
      <c r="B9" s="11">
        <f>164+20</f>
        <v>184</v>
      </c>
      <c r="C9" s="12">
        <f>B9*0.55</f>
        <v>101.2</v>
      </c>
      <c r="D9" s="55">
        <f>D4</f>
        <v>60.84</v>
      </c>
      <c r="E9" s="44">
        <f>E4</f>
        <v>68.27</v>
      </c>
      <c r="F9" s="15">
        <f>C9*0.9</f>
        <v>91.08</v>
      </c>
      <c r="G9" s="49">
        <f>D9*0.84+E9*0.16</f>
        <v>62.028800000000004</v>
      </c>
      <c r="H9" s="27">
        <f>F9*G9</f>
        <v>5649.5831040000003</v>
      </c>
      <c r="I9" s="16">
        <f>H9*8</f>
        <v>45196.664832000002</v>
      </c>
      <c r="J9" s="17">
        <f>H9*12</f>
        <v>67794.997248</v>
      </c>
      <c r="K9" s="17">
        <f>H9*4</f>
        <v>22598.332416000001</v>
      </c>
      <c r="L9" s="13">
        <f>SUM(I9:K9)</f>
        <v>135589.994496</v>
      </c>
    </row>
    <row r="10" spans="1:13">
      <c r="A10" s="10" t="s">
        <v>12</v>
      </c>
      <c r="B10" s="11">
        <f>537+100</f>
        <v>637</v>
      </c>
      <c r="C10" s="12">
        <f>B10*0.55</f>
        <v>350.35</v>
      </c>
      <c r="D10" s="55">
        <v>37.299999999999997</v>
      </c>
      <c r="E10" s="44"/>
      <c r="F10" s="15">
        <f>C10*0.9</f>
        <v>315.31500000000005</v>
      </c>
      <c r="G10" s="49">
        <f>D10</f>
        <v>37.299999999999997</v>
      </c>
      <c r="H10" s="27">
        <f>F10*G10</f>
        <v>11761.249500000002</v>
      </c>
      <c r="I10" s="16">
        <f>H10*8</f>
        <v>94089.996000000014</v>
      </c>
      <c r="J10" s="17">
        <f>H10*12</f>
        <v>141134.99400000001</v>
      </c>
      <c r="K10" s="17">
        <f>H10*4</f>
        <v>47044.998000000007</v>
      </c>
      <c r="L10" s="13">
        <f>SUM(I10:K10)</f>
        <v>282269.98800000001</v>
      </c>
    </row>
    <row r="11" spans="1:13">
      <c r="A11" s="5" t="s">
        <v>8</v>
      </c>
      <c r="B11" s="28"/>
      <c r="C11" s="28"/>
      <c r="D11" s="29"/>
      <c r="E11" s="29"/>
      <c r="G11" s="50"/>
      <c r="H11" s="29">
        <f>SUM(H9:H10)</f>
        <v>17410.832604000003</v>
      </c>
      <c r="I11" s="29">
        <f>SUM(I9:I10)</f>
        <v>139286.66083200002</v>
      </c>
      <c r="J11" s="29">
        <f t="shared" ref="J11" si="1">SUM(J9:J10)</f>
        <v>208929.99124800001</v>
      </c>
      <c r="K11" s="29">
        <f>SUM(K9:K10)</f>
        <v>69643.330416000012</v>
      </c>
      <c r="L11" s="29">
        <f>SUM(L9:L10)</f>
        <v>417859.98249600001</v>
      </c>
      <c r="M11" s="27"/>
    </row>
    <row r="12" spans="1:13">
      <c r="A12" s="5"/>
      <c r="B12" s="28"/>
      <c r="C12" s="28"/>
      <c r="D12" s="29"/>
      <c r="E12" s="29"/>
      <c r="G12" s="30"/>
      <c r="H12" s="29"/>
      <c r="I12" s="29"/>
    </row>
    <row r="13" spans="1:13">
      <c r="A13" s="5"/>
      <c r="B13" s="28"/>
      <c r="C13" s="28"/>
      <c r="D13" s="11"/>
      <c r="E13" s="11"/>
      <c r="G13" s="30"/>
    </row>
    <row r="14" spans="1:13">
      <c r="A14" s="5"/>
      <c r="B14" s="28"/>
      <c r="C14" s="28"/>
      <c r="D14" s="11"/>
      <c r="E14" s="11"/>
      <c r="G14" s="30"/>
    </row>
    <row r="15" spans="1:13" ht="18.75">
      <c r="A15" s="31" t="s">
        <v>9</v>
      </c>
      <c r="B15" s="18"/>
      <c r="C15" s="18"/>
      <c r="D15" s="41"/>
      <c r="E15" s="41"/>
      <c r="H15" s="40">
        <f>H5+H11</f>
        <v>18853.932636000001</v>
      </c>
      <c r="I15" s="40">
        <f>I5+I11</f>
        <v>150831.46108800001</v>
      </c>
      <c r="J15" s="40">
        <f>J5+J11</f>
        <v>226247.191632</v>
      </c>
      <c r="K15" s="40">
        <f>K5+K11</f>
        <v>75415.730544000005</v>
      </c>
      <c r="L15" s="41">
        <f>SUM(I15:K15)</f>
        <v>452494.383264</v>
      </c>
    </row>
    <row r="16" spans="1:13" ht="18.75">
      <c r="A16" s="31" t="s">
        <v>22</v>
      </c>
      <c r="B16" s="18"/>
      <c r="C16" s="18"/>
      <c r="D16" s="20"/>
      <c r="E16" s="20"/>
      <c r="H16" s="32"/>
      <c r="I16" s="40">
        <v>14000</v>
      </c>
      <c r="J16" s="32"/>
      <c r="K16" s="32"/>
      <c r="L16" s="20"/>
    </row>
    <row r="17" spans="1:12" ht="21.95" customHeight="1">
      <c r="A17" s="33" t="s">
        <v>24</v>
      </c>
      <c r="B17" s="34"/>
      <c r="C17" s="34"/>
      <c r="D17" s="53"/>
      <c r="E17" s="53"/>
      <c r="F17" s="54"/>
      <c r="G17" s="54"/>
      <c r="H17" s="52"/>
      <c r="I17" s="40">
        <f>SUM(I15:I16)</f>
        <v>164831.46108800001</v>
      </c>
      <c r="J17" s="32"/>
      <c r="K17" s="32"/>
      <c r="L17" s="20"/>
    </row>
    <row r="18" spans="1:12">
      <c r="A18" s="31"/>
      <c r="B18" s="18"/>
      <c r="C18" s="18"/>
      <c r="D18" s="20"/>
      <c r="E18" s="20"/>
      <c r="H18" s="32"/>
      <c r="I18" s="32"/>
      <c r="J18" s="32"/>
      <c r="K18" s="32"/>
      <c r="L18" s="20"/>
    </row>
    <row r="19" spans="1:12">
      <c r="A19" s="33"/>
      <c r="B19" s="34"/>
      <c r="C19" s="34"/>
      <c r="D19" s="34"/>
      <c r="E19" s="34"/>
    </row>
    <row r="20" spans="1:12">
      <c r="A20" s="48" t="s">
        <v>19</v>
      </c>
      <c r="B20" s="34"/>
      <c r="C20" s="34"/>
      <c r="D20" s="34"/>
      <c r="E20" s="34"/>
    </row>
    <row r="21" spans="1:12">
      <c r="A21" s="35" t="s">
        <v>10</v>
      </c>
      <c r="B21" s="34"/>
      <c r="C21" s="34"/>
      <c r="D21" s="34"/>
      <c r="E21" s="34"/>
    </row>
    <row r="22" spans="1:12">
      <c r="A22" s="48" t="s">
        <v>25</v>
      </c>
      <c r="B22" s="11"/>
      <c r="C22" s="11"/>
      <c r="D22" s="37"/>
      <c r="E22" s="37"/>
    </row>
    <row r="23" spans="1:12">
      <c r="A23" s="48" t="s">
        <v>15</v>
      </c>
      <c r="B23" s="11"/>
      <c r="C23" s="11"/>
      <c r="D23" s="37"/>
      <c r="E23" s="37"/>
    </row>
    <row r="24" spans="1:12">
      <c r="A24" s="36"/>
      <c r="B24" s="11"/>
      <c r="C24" s="11"/>
      <c r="D24" s="37"/>
      <c r="E24" s="37"/>
    </row>
  </sheetData>
  <pageMargins left="0.7" right="0.7" top="0.75" bottom="0.75" header="0.3" footer="0.3"/>
  <pageSetup paperSize="9" scale="96" orientation="landscape" horizontalDpi="0" verticalDpi="0" copies="2"/>
  <ignoredErrors>
    <ignoredError sqref="I15:J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119" zoomScaleNormal="118" workbookViewId="0">
      <selection activeCell="J18" sqref="J18"/>
    </sheetView>
  </sheetViews>
  <sheetFormatPr defaultColWidth="10.875" defaultRowHeight="15.75"/>
  <cols>
    <col min="1" max="1" width="28.5" style="1" customWidth="1"/>
    <col min="2" max="2" width="10.875" style="1" customWidth="1"/>
    <col min="3" max="3" width="10.875" style="1"/>
    <col min="4" max="4" width="11" style="1" customWidth="1"/>
    <col min="5" max="5" width="10.625" style="1" customWidth="1"/>
    <col min="6" max="6" width="14.5" style="1" customWidth="1"/>
    <col min="7" max="7" width="18.375" style="1" customWidth="1"/>
    <col min="8" max="8" width="12.875" style="1" customWidth="1"/>
    <col min="9" max="9" width="10.875" style="1"/>
    <col min="10" max="11" width="10.875" style="1" customWidth="1"/>
    <col min="12" max="12" width="12.125" style="1" customWidth="1"/>
    <col min="13" max="16384" width="10.875" style="1"/>
  </cols>
  <sheetData>
    <row r="1" spans="1:13" ht="18">
      <c r="A1" s="42" t="s">
        <v>54</v>
      </c>
      <c r="B1" s="43"/>
      <c r="C1" s="43"/>
      <c r="D1" s="43"/>
      <c r="E1" s="43"/>
      <c r="F1" s="38"/>
      <c r="G1" s="39"/>
      <c r="H1" s="51"/>
      <c r="I1" s="51"/>
      <c r="J1" s="38"/>
      <c r="K1" s="38"/>
      <c r="L1" s="38"/>
    </row>
    <row r="2" spans="1:13">
      <c r="A2" s="2"/>
      <c r="B2" s="3"/>
      <c r="C2" s="3"/>
      <c r="D2" s="4"/>
      <c r="E2" s="4"/>
      <c r="I2" s="4">
        <v>2019</v>
      </c>
      <c r="J2" s="4">
        <v>2020</v>
      </c>
      <c r="K2" s="4">
        <v>2021</v>
      </c>
      <c r="L2" s="4" t="s">
        <v>16</v>
      </c>
    </row>
    <row r="3" spans="1:13" ht="75.95" customHeight="1">
      <c r="A3" s="5"/>
      <c r="B3" s="6" t="s">
        <v>33</v>
      </c>
      <c r="C3" s="6" t="s">
        <v>34</v>
      </c>
      <c r="D3" s="8" t="s">
        <v>35</v>
      </c>
      <c r="E3" s="8" t="s">
        <v>36</v>
      </c>
      <c r="F3" s="6" t="s">
        <v>37</v>
      </c>
      <c r="G3" s="6" t="s">
        <v>38</v>
      </c>
      <c r="H3" s="7" t="s">
        <v>39</v>
      </c>
      <c r="I3" s="9" t="s">
        <v>58</v>
      </c>
      <c r="J3" s="9" t="s">
        <v>40</v>
      </c>
      <c r="K3" s="9" t="s">
        <v>60</v>
      </c>
      <c r="L3" s="8" t="s">
        <v>41</v>
      </c>
    </row>
    <row r="4" spans="1:13">
      <c r="A4" s="10" t="s">
        <v>42</v>
      </c>
      <c r="B4" s="11">
        <f>(17+6)+(23+1)</f>
        <v>47</v>
      </c>
      <c r="C4" s="12">
        <f>B4*0.55</f>
        <v>25.85</v>
      </c>
      <c r="D4" s="55">
        <v>60.84</v>
      </c>
      <c r="E4" s="55">
        <v>68.27</v>
      </c>
      <c r="F4" s="15">
        <f>C4*0.9</f>
        <v>23.265000000000001</v>
      </c>
      <c r="G4" s="49">
        <f>D4*0.84+E4*0.16</f>
        <v>62.028800000000004</v>
      </c>
      <c r="H4" s="16">
        <f>G4*F4</f>
        <v>1443.1000320000001</v>
      </c>
      <c r="I4" s="27">
        <f>H4*8</f>
        <v>11544.800256</v>
      </c>
      <c r="J4" s="14">
        <f>H4*12</f>
        <v>17317.200384</v>
      </c>
      <c r="K4" s="14">
        <f>H4*4</f>
        <v>5772.4001280000002</v>
      </c>
      <c r="L4" s="13">
        <f>SUM(I4:J4)</f>
        <v>28862.000639999998</v>
      </c>
    </row>
    <row r="5" spans="1:13">
      <c r="A5" s="5" t="s">
        <v>43</v>
      </c>
      <c r="B5" s="18"/>
      <c r="C5" s="19"/>
      <c r="D5" s="45"/>
      <c r="E5" s="45"/>
      <c r="G5" s="49"/>
      <c r="H5" s="20">
        <f>H4</f>
        <v>1443.1000320000001</v>
      </c>
      <c r="I5" s="20">
        <f>I4</f>
        <v>11544.800256</v>
      </c>
      <c r="J5" s="20">
        <f>J4</f>
        <v>17317.200384</v>
      </c>
      <c r="K5" s="20">
        <f>K4</f>
        <v>5772.4001280000002</v>
      </c>
      <c r="L5" s="20">
        <f t="shared" ref="L5" si="0">L4</f>
        <v>28862.000639999998</v>
      </c>
    </row>
    <row r="6" spans="1:13">
      <c r="A6" s="5"/>
      <c r="B6" s="18"/>
      <c r="C6" s="19"/>
      <c r="D6" s="45"/>
      <c r="E6" s="45"/>
      <c r="G6" s="49"/>
      <c r="H6" s="20"/>
      <c r="I6" s="20"/>
      <c r="J6" s="20"/>
      <c r="K6" s="20"/>
      <c r="L6" s="20"/>
    </row>
    <row r="7" spans="1:13">
      <c r="A7" s="2"/>
      <c r="B7" s="3"/>
      <c r="C7" s="21"/>
      <c r="D7" s="46"/>
      <c r="E7" s="46"/>
      <c r="G7" s="49"/>
    </row>
    <row r="8" spans="1:13">
      <c r="A8" s="22" t="s">
        <v>44</v>
      </c>
      <c r="B8" s="23"/>
      <c r="C8" s="24"/>
      <c r="D8" s="47"/>
      <c r="E8" s="47"/>
      <c r="G8" s="49"/>
      <c r="H8" s="7" t="s">
        <v>39</v>
      </c>
      <c r="I8" s="9" t="s">
        <v>59</v>
      </c>
      <c r="J8" s="9" t="s">
        <v>40</v>
      </c>
      <c r="K8" s="9" t="s">
        <v>60</v>
      </c>
      <c r="L8" s="8" t="s">
        <v>41</v>
      </c>
    </row>
    <row r="9" spans="1:13">
      <c r="A9" s="10" t="s">
        <v>45</v>
      </c>
      <c r="B9" s="11">
        <f>164+20</f>
        <v>184</v>
      </c>
      <c r="C9" s="12">
        <f>B9*0.55</f>
        <v>101.2</v>
      </c>
      <c r="D9" s="55">
        <f>D4</f>
        <v>60.84</v>
      </c>
      <c r="E9" s="44">
        <f>E4</f>
        <v>68.27</v>
      </c>
      <c r="F9" s="15">
        <f>C9*0.9</f>
        <v>91.08</v>
      </c>
      <c r="G9" s="49">
        <f>D9*0.84+E9*0.16</f>
        <v>62.028800000000004</v>
      </c>
      <c r="H9" s="27">
        <f>F9*G9</f>
        <v>5649.5831040000003</v>
      </c>
      <c r="I9" s="16">
        <f>H9*8</f>
        <v>45196.664832000002</v>
      </c>
      <c r="J9" s="17">
        <f>H9*12</f>
        <v>67794.997248</v>
      </c>
      <c r="K9" s="17">
        <f>H9*4</f>
        <v>22598.332416000001</v>
      </c>
      <c r="L9" s="13">
        <f>SUM(I9:K9)</f>
        <v>135589.994496</v>
      </c>
    </row>
    <row r="10" spans="1:13">
      <c r="A10" s="10" t="s">
        <v>46</v>
      </c>
      <c r="B10" s="11">
        <f>537+100</f>
        <v>637</v>
      </c>
      <c r="C10" s="12">
        <f>B10*0.55</f>
        <v>350.35</v>
      </c>
      <c r="D10" s="55">
        <v>37.299999999999997</v>
      </c>
      <c r="E10" s="44"/>
      <c r="F10" s="15">
        <f>C10*0.9</f>
        <v>315.31500000000005</v>
      </c>
      <c r="G10" s="49">
        <f>D10</f>
        <v>37.299999999999997</v>
      </c>
      <c r="H10" s="27">
        <f>F10*G10</f>
        <v>11761.249500000002</v>
      </c>
      <c r="I10" s="16">
        <f>H10*8</f>
        <v>94089.996000000014</v>
      </c>
      <c r="J10" s="17">
        <f>H10*12</f>
        <v>141134.99400000001</v>
      </c>
      <c r="K10" s="17">
        <f>H10*4</f>
        <v>47044.998000000007</v>
      </c>
      <c r="L10" s="13">
        <f>SUM(I10:K10)</f>
        <v>282269.98800000001</v>
      </c>
    </row>
    <row r="11" spans="1:13">
      <c r="A11" s="5" t="s">
        <v>47</v>
      </c>
      <c r="B11" s="28"/>
      <c r="C11" s="28"/>
      <c r="D11" s="29"/>
      <c r="E11" s="29"/>
      <c r="G11" s="50"/>
      <c r="H11" s="29">
        <f>SUM(H9:H10)</f>
        <v>17410.832604000003</v>
      </c>
      <c r="I11" s="29">
        <f>SUM(I9:I10)</f>
        <v>139286.66083200002</v>
      </c>
      <c r="J11" s="29">
        <f t="shared" ref="J11" si="1">SUM(J9:J10)</f>
        <v>208929.99124800001</v>
      </c>
      <c r="K11" s="29">
        <f>SUM(K9:K10)</f>
        <v>69643.330416000012</v>
      </c>
      <c r="L11" s="29">
        <f>SUM(L9:L10)</f>
        <v>417859.98249600001</v>
      </c>
      <c r="M11" s="27"/>
    </row>
    <row r="12" spans="1:13">
      <c r="A12" s="5"/>
      <c r="B12" s="28"/>
      <c r="C12" s="28"/>
      <c r="D12" s="29"/>
      <c r="E12" s="29"/>
      <c r="G12" s="30"/>
      <c r="H12" s="29"/>
      <c r="I12" s="29"/>
    </row>
    <row r="13" spans="1:13">
      <c r="A13" s="5"/>
      <c r="B13" s="28"/>
      <c r="C13" s="28"/>
      <c r="D13" s="11"/>
      <c r="E13" s="11"/>
      <c r="G13" s="30"/>
    </row>
    <row r="14" spans="1:13">
      <c r="A14" s="5"/>
      <c r="B14" s="28"/>
      <c r="C14" s="28"/>
      <c r="D14" s="11"/>
      <c r="E14" s="11"/>
      <c r="G14" s="30"/>
    </row>
    <row r="15" spans="1:13" ht="18.75">
      <c r="A15" s="31" t="s">
        <v>48</v>
      </c>
      <c r="B15" s="18"/>
      <c r="C15" s="18"/>
      <c r="D15" s="41"/>
      <c r="E15" s="41"/>
      <c r="H15" s="40">
        <f>H5+H11</f>
        <v>18853.932636000001</v>
      </c>
      <c r="I15" s="40">
        <f>I5+I11</f>
        <v>150831.46108800001</v>
      </c>
      <c r="J15" s="40">
        <f>J5+J11</f>
        <v>226247.191632</v>
      </c>
      <c r="K15" s="40">
        <f>K5+K11</f>
        <v>75415.730544000005</v>
      </c>
      <c r="L15" s="41">
        <f>SUM(I15:K15)</f>
        <v>452494.383264</v>
      </c>
    </row>
    <row r="16" spans="1:13" ht="18.75">
      <c r="A16" s="31" t="s">
        <v>49</v>
      </c>
      <c r="B16" s="18"/>
      <c r="C16" s="18"/>
      <c r="D16" s="20"/>
      <c r="E16" s="20"/>
      <c r="H16" s="32"/>
      <c r="I16" s="40">
        <v>14000</v>
      </c>
      <c r="J16" s="32"/>
      <c r="K16" s="32"/>
      <c r="L16" s="20"/>
    </row>
    <row r="17" spans="1:12" ht="21.95" customHeight="1">
      <c r="A17" s="33" t="s">
        <v>41</v>
      </c>
      <c r="B17" s="34"/>
      <c r="C17" s="34"/>
      <c r="D17" s="53"/>
      <c r="E17" s="53"/>
      <c r="F17" s="54"/>
      <c r="G17" s="54"/>
      <c r="H17" s="52"/>
      <c r="I17" s="40">
        <f>SUM(I15:I16)</f>
        <v>164831.46108800001</v>
      </c>
      <c r="J17" s="32"/>
      <c r="K17" s="32"/>
      <c r="L17" s="20"/>
    </row>
    <row r="18" spans="1:12">
      <c r="A18" s="31"/>
      <c r="B18" s="18"/>
      <c r="C18" s="18"/>
      <c r="D18" s="20"/>
      <c r="E18" s="20"/>
      <c r="H18" s="32"/>
      <c r="I18" s="32"/>
      <c r="J18" s="32"/>
      <c r="K18" s="32"/>
      <c r="L18" s="20"/>
    </row>
    <row r="19" spans="1:12">
      <c r="A19" s="33"/>
      <c r="B19" s="34"/>
      <c r="C19" s="34"/>
      <c r="D19" s="34"/>
      <c r="E19" s="34"/>
    </row>
    <row r="20" spans="1:12">
      <c r="A20" s="48" t="s">
        <v>50</v>
      </c>
      <c r="B20" s="34"/>
      <c r="C20" s="34"/>
      <c r="D20" s="34"/>
      <c r="E20" s="34"/>
    </row>
    <row r="21" spans="1:12">
      <c r="A21" s="35" t="s">
        <v>51</v>
      </c>
      <c r="B21" s="34"/>
      <c r="C21" s="34"/>
      <c r="D21" s="34"/>
      <c r="E21" s="34"/>
    </row>
    <row r="22" spans="1:12">
      <c r="A22" s="48" t="s">
        <v>52</v>
      </c>
      <c r="B22" s="11"/>
      <c r="C22" s="11"/>
      <c r="D22" s="37"/>
      <c r="E22" s="37"/>
    </row>
    <row r="23" spans="1:12">
      <c r="A23" s="48" t="s">
        <v>53</v>
      </c>
      <c r="B23" s="11"/>
      <c r="C23" s="11"/>
      <c r="D23" s="37"/>
      <c r="E23" s="37"/>
    </row>
    <row r="24" spans="1:12">
      <c r="A24" s="36"/>
      <c r="B24" s="11"/>
      <c r="C24" s="11"/>
      <c r="D24" s="37"/>
      <c r="E24" s="37"/>
    </row>
  </sheetData>
  <pageMargins left="0.7" right="0.7" top="0.75" bottom="0.75" header="0.3" footer="0.3"/>
  <pageSetup paperSize="9" scale="96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119" zoomScaleNormal="118" workbookViewId="0">
      <selection activeCell="I9" sqref="I9"/>
    </sheetView>
  </sheetViews>
  <sheetFormatPr defaultColWidth="10.875" defaultRowHeight="15.75"/>
  <cols>
    <col min="1" max="1" width="28.5" style="1" customWidth="1"/>
    <col min="2" max="2" width="10.875" style="1" customWidth="1"/>
    <col min="3" max="3" width="10.875" style="1"/>
    <col min="4" max="4" width="11" style="1" customWidth="1"/>
    <col min="5" max="5" width="10.625" style="1" customWidth="1"/>
    <col min="6" max="6" width="14.5" style="1" customWidth="1"/>
    <col min="7" max="7" width="18.375" style="1" customWidth="1"/>
    <col min="8" max="8" width="12.875" style="1" customWidth="1"/>
    <col min="9" max="16384" width="10.875" style="1"/>
  </cols>
  <sheetData>
    <row r="1" spans="1:9" ht="18">
      <c r="A1" s="42" t="s">
        <v>29</v>
      </c>
      <c r="B1" s="43"/>
      <c r="C1" s="43"/>
      <c r="D1" s="43"/>
      <c r="E1" s="43"/>
      <c r="F1" s="38"/>
      <c r="G1" s="39"/>
      <c r="H1" s="51"/>
      <c r="I1" s="51"/>
    </row>
    <row r="2" spans="1:9">
      <c r="A2" s="2"/>
      <c r="B2" s="3"/>
      <c r="C2" s="3"/>
      <c r="D2" s="4"/>
      <c r="E2" s="4"/>
      <c r="I2" s="4">
        <v>2021</v>
      </c>
    </row>
    <row r="3" spans="1:9" ht="75.95" customHeight="1">
      <c r="A3" s="5"/>
      <c r="B3" s="6" t="s">
        <v>20</v>
      </c>
      <c r="C3" s="6" t="s">
        <v>13</v>
      </c>
      <c r="D3" s="8" t="s">
        <v>17</v>
      </c>
      <c r="E3" s="8" t="s">
        <v>18</v>
      </c>
      <c r="F3" s="6" t="s">
        <v>30</v>
      </c>
      <c r="G3" s="6" t="s">
        <v>21</v>
      </c>
      <c r="H3" s="7" t="s">
        <v>0</v>
      </c>
      <c r="I3" s="9" t="s">
        <v>1</v>
      </c>
    </row>
    <row r="4" spans="1:9">
      <c r="A4" s="22" t="s">
        <v>31</v>
      </c>
      <c r="B4" s="23"/>
      <c r="C4" s="24"/>
      <c r="D4" s="47"/>
      <c r="E4" s="47"/>
      <c r="G4" s="49"/>
      <c r="H4" s="25"/>
      <c r="I4" s="22"/>
    </row>
    <row r="5" spans="1:9">
      <c r="A5" s="10" t="s">
        <v>26</v>
      </c>
      <c r="B5" s="11">
        <v>830</v>
      </c>
      <c r="C5" s="12">
        <f>B5*0.55</f>
        <v>456.50000000000006</v>
      </c>
      <c r="D5" s="55">
        <v>60.84</v>
      </c>
      <c r="E5" s="55">
        <v>68.27</v>
      </c>
      <c r="F5" s="15">
        <f>C5*0.9</f>
        <v>410.85000000000008</v>
      </c>
      <c r="G5" s="49">
        <f>D5*0.84+E5*0.16</f>
        <v>62.028800000000004</v>
      </c>
      <c r="H5" s="27">
        <f>F5*G5</f>
        <v>25484.532480000005</v>
      </c>
      <c r="I5" s="16">
        <f>H5*12</f>
        <v>305814.38976000005</v>
      </c>
    </row>
    <row r="6" spans="1:9">
      <c r="A6" s="10" t="s">
        <v>27</v>
      </c>
      <c r="B6" s="11">
        <v>1470</v>
      </c>
      <c r="C6" s="12">
        <f>B6*0.55</f>
        <v>808.50000000000011</v>
      </c>
      <c r="D6" s="55">
        <v>37.299999999999997</v>
      </c>
      <c r="E6" s="44"/>
      <c r="F6" s="15">
        <f>C6*0.9</f>
        <v>727.65000000000009</v>
      </c>
      <c r="G6" s="49">
        <f>D6</f>
        <v>37.299999999999997</v>
      </c>
      <c r="H6" s="27">
        <f>F6*G6</f>
        <v>27141.345000000001</v>
      </c>
      <c r="I6" s="16">
        <f>H6*12</f>
        <v>325696.14</v>
      </c>
    </row>
    <row r="7" spans="1:9">
      <c r="A7" s="5" t="s">
        <v>31</v>
      </c>
      <c r="B7" s="28"/>
      <c r="C7" s="28"/>
      <c r="D7" s="29"/>
      <c r="E7" s="29"/>
      <c r="G7" s="50"/>
      <c r="H7" s="29">
        <f>SUM(H5:H6)</f>
        <v>52625.87748000001</v>
      </c>
      <c r="I7" s="29">
        <f>SUM(I5:I6)</f>
        <v>631510.52976000006</v>
      </c>
    </row>
    <row r="8" spans="1:9">
      <c r="A8" s="5"/>
      <c r="B8" s="28"/>
      <c r="C8" s="28"/>
      <c r="D8" s="29"/>
      <c r="E8" s="29"/>
      <c r="G8" s="30"/>
      <c r="H8" s="29"/>
      <c r="I8" s="29"/>
    </row>
    <row r="9" spans="1:9">
      <c r="A9" s="5"/>
      <c r="B9" s="28"/>
      <c r="C9" s="28"/>
      <c r="D9" s="11"/>
      <c r="E9" s="11"/>
      <c r="G9" s="30"/>
    </row>
    <row r="10" spans="1:9">
      <c r="A10" s="5"/>
      <c r="B10" s="28"/>
      <c r="C10" s="28"/>
      <c r="D10" s="11"/>
      <c r="E10" s="11"/>
      <c r="G10" s="30"/>
    </row>
    <row r="11" spans="1:9" ht="18.75">
      <c r="A11" s="31" t="s">
        <v>28</v>
      </c>
      <c r="B11" s="18"/>
      <c r="C11" s="18"/>
      <c r="D11" s="41"/>
      <c r="E11" s="41"/>
      <c r="H11" s="40">
        <f>H7</f>
        <v>52625.87748000001</v>
      </c>
      <c r="I11" s="40">
        <f>I7</f>
        <v>631510.52976000006</v>
      </c>
    </row>
    <row r="12" spans="1:9">
      <c r="A12" s="31"/>
      <c r="B12" s="18"/>
      <c r="C12" s="18"/>
      <c r="D12" s="20"/>
      <c r="E12" s="20"/>
      <c r="H12" s="32"/>
      <c r="I12" s="32"/>
    </row>
    <row r="13" spans="1:9">
      <c r="A13" s="33"/>
      <c r="B13" s="34"/>
      <c r="C13" s="34"/>
      <c r="D13" s="34"/>
      <c r="E13" s="34"/>
    </row>
    <row r="14" spans="1:9">
      <c r="A14" s="48" t="s">
        <v>19</v>
      </c>
      <c r="B14" s="34"/>
      <c r="C14" s="34"/>
      <c r="D14" s="34"/>
      <c r="E14" s="34"/>
    </row>
    <row r="15" spans="1:9">
      <c r="A15" s="35" t="s">
        <v>10</v>
      </c>
      <c r="B15" s="34"/>
      <c r="C15" s="34"/>
      <c r="D15" s="34"/>
      <c r="E15" s="34"/>
    </row>
    <row r="16" spans="1:9">
      <c r="A16" s="48" t="s">
        <v>25</v>
      </c>
      <c r="B16" s="11"/>
      <c r="C16" s="11"/>
      <c r="D16" s="37"/>
      <c r="E16" s="37"/>
    </row>
    <row r="17" spans="1:5">
      <c r="A17" s="48" t="s">
        <v>32</v>
      </c>
      <c r="B17" s="11"/>
      <c r="C17" s="11"/>
      <c r="D17" s="37"/>
      <c r="E17" s="37"/>
    </row>
    <row r="18" spans="1:5">
      <c r="A18" s="36"/>
      <c r="B18" s="11"/>
      <c r="C18" s="11"/>
      <c r="D18" s="37"/>
      <c r="E18" s="37"/>
    </row>
  </sheetData>
  <pageMargins left="0.7" right="0.7" top="0.75" bottom="0.75" header="0.3" footer="0.3"/>
  <pageSetup paperSize="9" scale="96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Pretest &amp; Pilot Budget</vt:lpstr>
      <vt:lpstr>Pretest &amp; Pilot Budget_GEO</vt:lpstr>
      <vt:lpstr>National scale-up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Ivdity Chikovani</dc:creator>
  <cp:lastModifiedBy>Ia Kamarauli</cp:lastModifiedBy>
  <cp:lastPrinted>2018-12-19T12:13:32Z</cp:lastPrinted>
  <dcterms:created xsi:type="dcterms:W3CDTF">2018-07-12T08:39:06Z</dcterms:created>
  <dcterms:modified xsi:type="dcterms:W3CDTF">2019-04-22T06:44:08Z</dcterms:modified>
</cp:coreProperties>
</file>